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autoCompressPictures="0"/>
  <bookViews>
    <workbookView xWindow="0" yWindow="0" windowWidth="25600" windowHeight="14220"/>
  </bookViews>
  <sheets>
    <sheet name="Blad2" sheetId="2" r:id="rId1"/>
    <sheet name="Blad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0" i="2" l="1"/>
  <c r="H8" i="2"/>
  <c r="N4" i="2"/>
  <c r="N5" i="2"/>
  <c r="G41" i="2"/>
  <c r="H6" i="2"/>
  <c r="H5" i="2"/>
  <c r="E46" i="2"/>
  <c r="E44" i="2"/>
  <c r="E45" i="2"/>
  <c r="E47" i="2"/>
  <c r="G38" i="2"/>
  <c r="G16" i="2"/>
  <c r="H7" i="2"/>
  <c r="X25" i="2"/>
  <c r="W31" i="2"/>
  <c r="X32" i="2"/>
  <c r="A5" i="2"/>
  <c r="X29" i="2"/>
  <c r="AC20" i="2"/>
  <c r="AB20" i="2"/>
  <c r="AC17" i="2"/>
  <c r="AB17" i="2"/>
  <c r="AC9" i="2"/>
  <c r="AB9" i="2"/>
  <c r="AC6" i="2"/>
  <c r="AB6" i="2"/>
  <c r="A4" i="2"/>
  <c r="Q16" i="2"/>
  <c r="S16" i="2"/>
  <c r="H9" i="2"/>
  <c r="AB5" i="2"/>
  <c r="X34" i="2"/>
  <c r="X27" i="2"/>
  <c r="AB27" i="2"/>
  <c r="AB32" i="2"/>
  <c r="AC32" i="2"/>
  <c r="Q21" i="2"/>
  <c r="Q20" i="2"/>
  <c r="X33" i="2"/>
  <c r="AB7" i="2"/>
  <c r="AB8" i="2"/>
  <c r="AB10" i="2"/>
  <c r="AB11" i="2"/>
  <c r="AB16" i="2"/>
  <c r="AC5" i="2"/>
  <c r="AC7" i="2"/>
  <c r="AC8" i="2"/>
  <c r="AC10" i="2"/>
  <c r="X35" i="2"/>
  <c r="X39" i="2"/>
  <c r="X41" i="2"/>
  <c r="AC11" i="2"/>
  <c r="G23" i="2"/>
  <c r="AC16" i="2"/>
  <c r="AC18" i="2"/>
  <c r="AC19" i="2"/>
  <c r="AC21" i="2"/>
  <c r="AC22" i="2"/>
  <c r="AB18" i="2"/>
  <c r="AB19" i="2"/>
  <c r="AB21" i="2"/>
  <c r="AB22" i="2"/>
  <c r="AB39" i="2"/>
  <c r="AB41" i="2"/>
  <c r="AB42" i="2"/>
  <c r="H23" i="2"/>
  <c r="G24" i="2"/>
  <c r="X42" i="2"/>
  <c r="I24" i="2"/>
  <c r="G29" i="2"/>
  <c r="G26" i="2"/>
  <c r="H29" i="2"/>
  <c r="J29" i="2"/>
  <c r="J31" i="2"/>
</calcChain>
</file>

<file path=xl/sharedStrings.xml><?xml version="1.0" encoding="utf-8"?>
<sst xmlns="http://schemas.openxmlformats.org/spreadsheetml/2006/main" count="87" uniqueCount="65">
  <si>
    <t>alleen</t>
  </si>
  <si>
    <t>65-min</t>
  </si>
  <si>
    <t>65-plus</t>
  </si>
  <si>
    <t>drempel</t>
  </si>
  <si>
    <t>uurtarief huishoudelijke hulp</t>
  </si>
  <si>
    <t>drempel gezinshulp</t>
  </si>
  <si>
    <t>drempel aftrekpost zorgkosten</t>
  </si>
  <si>
    <t>vastbedrag 65-min</t>
  </si>
  <si>
    <t>plus</t>
  </si>
  <si>
    <t>t/m</t>
  </si>
  <si>
    <t>Tarieven</t>
  </si>
  <si>
    <t>Bent u met</t>
  </si>
  <si>
    <t>persoon</t>
  </si>
  <si>
    <t>Verzamelinkomen</t>
  </si>
  <si>
    <t>Ontvangt de oudste partner AOW</t>
  </si>
  <si>
    <t>Berekening WMO bijdrage per 4 weken</t>
  </si>
  <si>
    <t>Verzamel inkomen</t>
  </si>
  <si>
    <t>vast bedrag</t>
  </si>
  <si>
    <t>per vier weken</t>
  </si>
  <si>
    <t>AOW-min</t>
  </si>
  <si>
    <t>AOW-plus</t>
  </si>
  <si>
    <t>samen</t>
  </si>
  <si>
    <t>bent u alleen/samen</t>
  </si>
  <si>
    <t>bent u AOW-min/AOW-plus</t>
  </si>
  <si>
    <t>drempel zorgkosten</t>
  </si>
  <si>
    <t>hoogste inkomen</t>
  </si>
  <si>
    <t>uurtarief hulp</t>
  </si>
  <si>
    <t>per jaar</t>
  </si>
  <si>
    <t>vermenigvuldiging</t>
  </si>
  <si>
    <t>drempelinkomen</t>
  </si>
  <si>
    <t>aftrekbaar</t>
  </si>
  <si>
    <t>verhoging?</t>
  </si>
  <si>
    <t>fiscaal voordeel</t>
  </si>
  <si>
    <t>voor hoogste inkomen</t>
  </si>
  <si>
    <t>netto last</t>
  </si>
  <si>
    <t>per 4 weken</t>
  </si>
  <si>
    <t>Bent u AOW-min/AOW-plus</t>
  </si>
  <si>
    <t>Bijdrage voor huishoudelijke hulp per vier weken</t>
  </si>
  <si>
    <t>WMO</t>
  </si>
  <si>
    <t>via de fiscus</t>
  </si>
  <si>
    <t>bruto</t>
  </si>
  <si>
    <t>4% fictief over vermogen boven de vrijstelling box 3</t>
  </si>
  <si>
    <t>twee personen</t>
  </si>
  <si>
    <t>Bedragen WMO (via CAK)</t>
  </si>
  <si>
    <t>voordeel zelf betalen</t>
  </si>
  <si>
    <t>hebt u meer vermogen dan de vrijstellingen box 3</t>
  </si>
  <si>
    <t>algemene vrijstelling</t>
  </si>
  <si>
    <t>partner 1</t>
  </si>
  <si>
    <t>partner 2</t>
  </si>
  <si>
    <t>ja</t>
  </si>
  <si>
    <t>hoeveel meer vermogen dan de vrijstelling?</t>
  </si>
  <si>
    <t>eigen bijdrage uit vermogen</t>
  </si>
  <si>
    <t xml:space="preserve">uurtarief </t>
  </si>
  <si>
    <t># uren</t>
  </si>
  <si>
    <t>WMO tarief</t>
  </si>
  <si>
    <t>per uur</t>
  </si>
  <si>
    <t>aantal uren huishoudelijke hulp per week?</t>
  </si>
  <si>
    <t>cijfers 2013</t>
  </si>
  <si>
    <t>maximaal te betalen eigen bijdrage</t>
  </si>
  <si>
    <t>8% uit vermogen</t>
  </si>
  <si>
    <t>inkomen voor de WMO</t>
  </si>
  <si>
    <t>inkomen voor de fiscus</t>
  </si>
  <si>
    <t>Vermogen box 3</t>
  </si>
  <si>
    <t>vrijstellingen zijn voor u maximaal</t>
  </si>
  <si>
    <t>hebt u meer vermogen dan de vrijstellingen, zo ja hoeveel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</si>
</sst>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€&quot;\ * #,##0_ ;_ &quot;€&quot;\ * \-#,##0_ ;_ &quot;€&quot;\ * &quot;-&quot;_ ;_ @_ 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9" fontId="0" fillId="0" borderId="0" xfId="0" applyNumberFormat="1"/>
    <xf numFmtId="10" fontId="0" fillId="0" borderId="0" xfId="0" applyNumberFormat="1"/>
    <xf numFmtId="1" fontId="0" fillId="0" borderId="0" xfId="0" applyNumberFormat="1"/>
    <xf numFmtId="0" fontId="1" fillId="0" borderId="0" xfId="0" applyFont="1"/>
    <xf numFmtId="4" fontId="0" fillId="0" borderId="0" xfId="0" applyNumberFormat="1"/>
    <xf numFmtId="0" fontId="0" fillId="2" borderId="0" xfId="0" applyFill="1"/>
    <xf numFmtId="0" fontId="0" fillId="3" borderId="0" xfId="0" applyFill="1"/>
    <xf numFmtId="49" fontId="0" fillId="2" borderId="0" xfId="0" applyNumberForma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" fontId="0" fillId="0" borderId="0" xfId="0" applyNumberFormat="1" applyBorder="1"/>
    <xf numFmtId="4" fontId="0" fillId="0" borderId="5" xfId="0" applyNumberFormat="1" applyBorder="1"/>
    <xf numFmtId="9" fontId="0" fillId="0" borderId="4" xfId="0" applyNumberFormat="1" applyBorder="1"/>
    <xf numFmtId="0" fontId="0" fillId="0" borderId="6" xfId="0" applyBorder="1"/>
    <xf numFmtId="0" fontId="0" fillId="0" borderId="7" xfId="0" applyBorder="1"/>
    <xf numFmtId="4" fontId="0" fillId="0" borderId="7" xfId="0" applyNumberFormat="1" applyBorder="1"/>
    <xf numFmtId="4" fontId="0" fillId="0" borderId="8" xfId="0" applyNumberFormat="1" applyBorder="1"/>
    <xf numFmtId="165" fontId="0" fillId="0" borderId="0" xfId="0" applyNumberFormat="1"/>
    <xf numFmtId="4" fontId="1" fillId="0" borderId="0" xfId="0" applyNumberFormat="1" applyFont="1"/>
    <xf numFmtId="0" fontId="0" fillId="0" borderId="0" xfId="0" applyFill="1"/>
    <xf numFmtId="0" fontId="0" fillId="4" borderId="0" xfId="0" applyFill="1"/>
    <xf numFmtId="4" fontId="0" fillId="4" borderId="0" xfId="0" applyNumberFormat="1" applyFill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9" fontId="0" fillId="4" borderId="0" xfId="0" applyNumberFormat="1" applyFill="1" applyBorder="1"/>
    <xf numFmtId="164" fontId="0" fillId="0" borderId="0" xfId="0" applyNumberFormat="1"/>
    <xf numFmtId="0" fontId="0" fillId="0" borderId="0" xfId="0" applyFill="1" applyBorder="1"/>
  </cellXfs>
  <cellStyles count="1">
    <cellStyle name="Norma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47"/>
  <sheetViews>
    <sheetView tabSelected="1" workbookViewId="0">
      <selection activeCell="J20" sqref="J20"/>
    </sheetView>
  </sheetViews>
  <sheetFormatPr baseColWidth="10" defaultColWidth="8.83203125" defaultRowHeight="14" x14ac:dyDescent="0"/>
  <cols>
    <col min="1" max="1" width="13.1640625" customWidth="1"/>
    <col min="2" max="2" width="4.6640625" customWidth="1"/>
    <col min="8" max="8" width="9.5" bestFit="1" customWidth="1"/>
    <col min="13" max="13" width="9.5" bestFit="1" customWidth="1"/>
    <col min="25" max="27" width="0" hidden="1" customWidth="1"/>
    <col min="28" max="28" width="10.5" customWidth="1"/>
    <col min="29" max="29" width="9.5" bestFit="1" customWidth="1"/>
  </cols>
  <sheetData>
    <row r="2" spans="1:29">
      <c r="M2" t="s">
        <v>54</v>
      </c>
    </row>
    <row r="3" spans="1:29">
      <c r="A3" t="s">
        <v>11</v>
      </c>
      <c r="B3">
        <v>1</v>
      </c>
      <c r="C3" t="s">
        <v>12</v>
      </c>
      <c r="E3" s="6" t="s">
        <v>49</v>
      </c>
      <c r="M3" t="s">
        <v>52</v>
      </c>
      <c r="N3" s="39">
        <v>20</v>
      </c>
      <c r="O3" t="s">
        <v>55</v>
      </c>
      <c r="U3" s="9" t="s">
        <v>15</v>
      </c>
      <c r="V3" s="10"/>
      <c r="W3" s="10"/>
      <c r="X3" s="10"/>
      <c r="Y3" s="10"/>
      <c r="Z3" s="10"/>
      <c r="AA3" s="10"/>
      <c r="AB3" s="10" t="s">
        <v>0</v>
      </c>
      <c r="AC3" s="11"/>
    </row>
    <row r="4" spans="1:29">
      <c r="A4" t="str">
        <f>IF(E3="ja","bruto inkomen uit arbeid, uitkering of ondernemening",IF(E3="nee","hoogste inkomen vh huishouden uit arbeid, uitkering of ondernemening"))</f>
        <v>bruto inkomen uit arbeid, uitkering of ondernemening</v>
      </c>
      <c r="H4" s="6">
        <v>35000</v>
      </c>
      <c r="M4" t="s">
        <v>53</v>
      </c>
      <c r="N4" s="24">
        <f>H13</f>
        <v>3</v>
      </c>
      <c r="U4" s="12"/>
      <c r="V4" s="13"/>
      <c r="W4" s="13"/>
      <c r="X4" s="13"/>
      <c r="Y4" s="13"/>
      <c r="Z4" s="13"/>
      <c r="AA4" s="13"/>
      <c r="AB4" s="13" t="s">
        <v>19</v>
      </c>
      <c r="AC4" s="14" t="s">
        <v>20</v>
      </c>
    </row>
    <row r="5" spans="1:29">
      <c r="A5">
        <f>IF(E3="nee","ïnkomen andere partner uit arbeid, uitkering of ondernemening", IF(E3="ja",0))</f>
        <v>0</v>
      </c>
      <c r="G5" s="6">
        <v>10000</v>
      </c>
      <c r="H5" s="24">
        <f>IF(E3="nee",G5,IF(E3="ja",0))</f>
        <v>0</v>
      </c>
      <c r="N5">
        <f>N4*N3*4</f>
        <v>240</v>
      </c>
      <c r="O5" t="s">
        <v>58</v>
      </c>
      <c r="U5" s="12" t="s">
        <v>16</v>
      </c>
      <c r="V5" s="13"/>
      <c r="W5" s="13"/>
      <c r="X5" s="13"/>
      <c r="Y5" s="13"/>
      <c r="Z5" s="13"/>
      <c r="AA5" s="13"/>
      <c r="AB5" s="15">
        <f>H9</f>
        <v>38000</v>
      </c>
      <c r="AC5" s="16">
        <f>AB5</f>
        <v>38000</v>
      </c>
    </row>
    <row r="6" spans="1:29">
      <c r="A6" t="s">
        <v>41</v>
      </c>
      <c r="H6" s="6">
        <f>G41</f>
        <v>1000</v>
      </c>
      <c r="U6" s="12" t="s">
        <v>17</v>
      </c>
      <c r="V6" s="13"/>
      <c r="W6" s="13"/>
      <c r="X6" s="13"/>
      <c r="Y6" s="13"/>
      <c r="Z6" s="13"/>
      <c r="AA6" s="13"/>
      <c r="AB6" s="15">
        <f>P29</f>
        <v>22331</v>
      </c>
      <c r="AC6" s="16">
        <f>P30</f>
        <v>16634</v>
      </c>
    </row>
    <row r="7" spans="1:29">
      <c r="D7" t="s">
        <v>13</v>
      </c>
      <c r="H7" s="7">
        <f>SUM(H4:H6)</f>
        <v>36000</v>
      </c>
      <c r="I7" t="s">
        <v>61</v>
      </c>
      <c r="U7" s="12"/>
      <c r="V7" s="13"/>
      <c r="W7" s="13"/>
      <c r="X7" s="13"/>
      <c r="Y7" s="13"/>
      <c r="Z7" s="13"/>
      <c r="AA7" s="13"/>
      <c r="AB7" s="15">
        <f>AB5-AB6</f>
        <v>15669</v>
      </c>
      <c r="AC7" s="16">
        <f>AC5-AC6</f>
        <v>21366</v>
      </c>
    </row>
    <row r="8" spans="1:29">
      <c r="D8" t="s">
        <v>59</v>
      </c>
      <c r="F8" s="1">
        <v>0.08</v>
      </c>
      <c r="H8">
        <f>G40*F8</f>
        <v>2000</v>
      </c>
      <c r="M8" t="s">
        <v>5</v>
      </c>
      <c r="U8" s="17">
        <v>0.15</v>
      </c>
      <c r="V8" s="13"/>
      <c r="W8" s="13"/>
      <c r="X8" s="13"/>
      <c r="Y8" s="13"/>
      <c r="Z8" s="13"/>
      <c r="AA8" s="13"/>
      <c r="AB8" s="15">
        <f>AB7*U8</f>
        <v>2350.35</v>
      </c>
      <c r="AC8" s="16">
        <f>AC7*U8</f>
        <v>3204.9</v>
      </c>
    </row>
    <row r="9" spans="1:29">
      <c r="H9" s="7">
        <f>H7+H8</f>
        <v>38000</v>
      </c>
      <c r="I9" t="s">
        <v>60</v>
      </c>
      <c r="M9" s="1">
        <v>0</v>
      </c>
      <c r="N9">
        <v>30869</v>
      </c>
      <c r="U9" s="12" t="s">
        <v>17</v>
      </c>
      <c r="V9" s="13"/>
      <c r="W9" s="13"/>
      <c r="X9" s="13"/>
      <c r="Y9" s="13"/>
      <c r="Z9" s="13"/>
      <c r="AA9" s="13"/>
      <c r="AB9" s="15">
        <f>Q29</f>
        <v>252</v>
      </c>
      <c r="AC9" s="16">
        <f>Q30</f>
        <v>252</v>
      </c>
    </row>
    <row r="10" spans="1:29">
      <c r="M10" s="1">
        <v>0.01</v>
      </c>
      <c r="N10" s="29">
        <v>30869</v>
      </c>
      <c r="O10">
        <v>46304</v>
      </c>
      <c r="U10" s="12"/>
      <c r="V10" s="13"/>
      <c r="W10" s="13"/>
      <c r="X10" s="13"/>
      <c r="Y10" s="13"/>
      <c r="Z10" s="13"/>
      <c r="AA10" s="13"/>
      <c r="AB10" s="15">
        <f>AB8+AB9</f>
        <v>2602.35</v>
      </c>
      <c r="AC10" s="16">
        <f>AC8+AC9</f>
        <v>3456.9</v>
      </c>
    </row>
    <row r="11" spans="1:29">
      <c r="A11" t="s">
        <v>14</v>
      </c>
      <c r="H11" s="8" t="s">
        <v>49</v>
      </c>
      <c r="M11" s="1">
        <v>0.02</v>
      </c>
      <c r="N11">
        <v>46304</v>
      </c>
      <c r="O11">
        <v>61732</v>
      </c>
      <c r="U11" s="12" t="s">
        <v>18</v>
      </c>
      <c r="V11" s="13"/>
      <c r="W11" s="13"/>
      <c r="X11" s="13"/>
      <c r="Y11" s="13"/>
      <c r="Z11" s="13"/>
      <c r="AA11" s="13"/>
      <c r="AB11" s="15">
        <f>IF(AB10/13&lt;=19.4,19.4,IF(AB10/13&gt;19.4,AB10/13))</f>
        <v>200.18076923076922</v>
      </c>
      <c r="AC11" s="16">
        <f>IF(AC10/13&lt;=19.4,19.4, IF(AC10/13&gt;19.4,AC10/13))</f>
        <v>265.9153846153846</v>
      </c>
    </row>
    <row r="12" spans="1:29">
      <c r="A12" t="s">
        <v>4</v>
      </c>
      <c r="H12" s="6">
        <v>15</v>
      </c>
      <c r="I12" t="s">
        <v>40</v>
      </c>
      <c r="M12" s="1">
        <v>0.03</v>
      </c>
      <c r="N12">
        <v>61732</v>
      </c>
      <c r="U12" s="12"/>
      <c r="V12" s="13"/>
      <c r="W12" s="13"/>
      <c r="X12" s="13"/>
      <c r="Y12" s="13"/>
      <c r="Z12" s="13"/>
      <c r="AA12" s="13"/>
      <c r="AB12" s="15"/>
      <c r="AC12" s="16"/>
    </row>
    <row r="13" spans="1:29">
      <c r="A13" t="s">
        <v>56</v>
      </c>
      <c r="H13" s="6">
        <v>3</v>
      </c>
      <c r="M13" t="s">
        <v>6</v>
      </c>
      <c r="U13" s="12"/>
      <c r="V13" s="13"/>
      <c r="W13" s="13"/>
      <c r="X13" s="13"/>
      <c r="Y13" s="13"/>
      <c r="Z13" s="13"/>
      <c r="AA13" s="13"/>
      <c r="AB13" s="15"/>
      <c r="AC13" s="16"/>
    </row>
    <row r="14" spans="1:29">
      <c r="M14" t="s">
        <v>9</v>
      </c>
      <c r="N14" s="29">
        <v>7525</v>
      </c>
      <c r="O14" s="29">
        <v>127</v>
      </c>
      <c r="U14" s="12" t="s">
        <v>15</v>
      </c>
      <c r="V14" s="13"/>
      <c r="W14" s="13"/>
      <c r="X14" s="13"/>
      <c r="Y14" s="13"/>
      <c r="Z14" s="13"/>
      <c r="AA14" s="13"/>
      <c r="AB14" s="13" t="s">
        <v>21</v>
      </c>
      <c r="AC14" s="14"/>
    </row>
    <row r="15" spans="1:29">
      <c r="A15" t="s">
        <v>62</v>
      </c>
      <c r="M15" s="3">
        <v>7525</v>
      </c>
      <c r="N15">
        <v>39975</v>
      </c>
      <c r="O15" s="2">
        <v>1.6500000000000001E-2</v>
      </c>
      <c r="U15" s="12"/>
      <c r="V15" s="13"/>
      <c r="W15" s="13"/>
      <c r="X15" s="13"/>
      <c r="Y15" s="13"/>
      <c r="Z15" s="13"/>
      <c r="AA15" s="13"/>
      <c r="AB15" s="13" t="s">
        <v>19</v>
      </c>
      <c r="AC15" s="14" t="s">
        <v>20</v>
      </c>
    </row>
    <row r="16" spans="1:29">
      <c r="A16" t="s">
        <v>63</v>
      </c>
      <c r="G16">
        <f>G38</f>
        <v>21139</v>
      </c>
      <c r="M16" s="3">
        <v>39975</v>
      </c>
      <c r="O16">
        <v>659</v>
      </c>
      <c r="P16" t="s">
        <v>8</v>
      </c>
      <c r="Q16">
        <f>H7-39618</f>
        <v>-3618</v>
      </c>
      <c r="R16" s="2">
        <v>5.7500000000000002E-2</v>
      </c>
      <c r="S16" s="23">
        <f>(Q16*R16)+O16</f>
        <v>450.96500000000003</v>
      </c>
      <c r="U16" s="12" t="s">
        <v>16</v>
      </c>
      <c r="V16" s="13"/>
      <c r="W16" s="13"/>
      <c r="X16" s="13"/>
      <c r="Y16" s="13"/>
      <c r="Z16" s="13"/>
      <c r="AA16" s="13"/>
      <c r="AB16" s="15">
        <f>AB5</f>
        <v>38000</v>
      </c>
      <c r="AC16" s="16">
        <f>AB16</f>
        <v>38000</v>
      </c>
    </row>
    <row r="17" spans="1:29">
      <c r="A17" t="s">
        <v>64</v>
      </c>
      <c r="H17" s="6">
        <v>25000</v>
      </c>
      <c r="U17" s="12" t="s">
        <v>17</v>
      </c>
      <c r="V17" s="13"/>
      <c r="W17" s="13"/>
      <c r="X17" s="13"/>
      <c r="Y17" s="13"/>
      <c r="Z17" s="13"/>
      <c r="AA17" s="13"/>
      <c r="AB17" s="15">
        <f>P32</f>
        <v>27917</v>
      </c>
      <c r="AC17" s="16">
        <f>P33</f>
        <v>23046</v>
      </c>
    </row>
    <row r="18" spans="1:29">
      <c r="M18" t="s">
        <v>28</v>
      </c>
      <c r="U18" s="12"/>
      <c r="V18" s="13"/>
      <c r="W18" s="13"/>
      <c r="X18" s="13"/>
      <c r="Y18" s="13"/>
      <c r="Z18" s="13"/>
      <c r="AA18" s="13"/>
      <c r="AB18" s="15">
        <f>AB16-AB17</f>
        <v>10083</v>
      </c>
      <c r="AC18" s="16">
        <f>AC16-AC17</f>
        <v>14954</v>
      </c>
    </row>
    <row r="19" spans="1:29">
      <c r="M19" t="s">
        <v>29</v>
      </c>
      <c r="O19">
        <v>33857</v>
      </c>
      <c r="U19" s="17">
        <v>0.15</v>
      </c>
      <c r="V19" s="13"/>
      <c r="W19" s="13"/>
      <c r="X19" s="13"/>
      <c r="Y19" s="13"/>
      <c r="Z19" s="13"/>
      <c r="AA19" s="13"/>
      <c r="AB19" s="15">
        <f>AB18*U19</f>
        <v>1512.45</v>
      </c>
      <c r="AC19" s="16">
        <f>AC18*U19</f>
        <v>2243.1</v>
      </c>
    </row>
    <row r="20" spans="1:29">
      <c r="M20" t="s">
        <v>19</v>
      </c>
      <c r="O20" s="1">
        <v>0.4</v>
      </c>
      <c r="Q20" s="4">
        <f>IF(H7&lt;=O19,((AC32*O20)+AC32),IF(H7&gt;O19,AC32))</f>
        <v>1980</v>
      </c>
      <c r="U20" s="12" t="s">
        <v>17</v>
      </c>
      <c r="V20" s="13"/>
      <c r="W20" s="13"/>
      <c r="X20" s="13"/>
      <c r="Y20" s="13"/>
      <c r="Z20" s="13"/>
      <c r="AA20" s="13"/>
      <c r="AB20" s="15">
        <f>Q32</f>
        <v>359</v>
      </c>
      <c r="AC20" s="16">
        <f>Q33</f>
        <v>359</v>
      </c>
    </row>
    <row r="21" spans="1:29">
      <c r="M21" t="s">
        <v>20</v>
      </c>
      <c r="O21">
        <v>2.13</v>
      </c>
      <c r="Q21" s="4">
        <f>IF(H7&lt;=O19,AC32*O21,IF(H7&gt;O19,AC32))</f>
        <v>1980</v>
      </c>
      <c r="U21" s="12"/>
      <c r="V21" s="13"/>
      <c r="W21" s="13"/>
      <c r="X21" s="13"/>
      <c r="Y21" s="13"/>
      <c r="Z21" s="13"/>
      <c r="AA21" s="13"/>
      <c r="AB21" s="15">
        <f>AB19+AB20</f>
        <v>1871.45</v>
      </c>
      <c r="AC21" s="16">
        <f>AC19+AC20</f>
        <v>2602.1</v>
      </c>
    </row>
    <row r="22" spans="1:29">
      <c r="E22" s="13"/>
      <c r="G22" t="s">
        <v>0</v>
      </c>
      <c r="H22" t="s">
        <v>21</v>
      </c>
      <c r="U22" s="18" t="s">
        <v>18</v>
      </c>
      <c r="V22" s="19"/>
      <c r="W22" s="19"/>
      <c r="X22" s="19"/>
      <c r="Y22" s="19"/>
      <c r="Z22" s="19"/>
      <c r="AA22" s="19"/>
      <c r="AB22" s="20">
        <f>IF(AB21/13&lt;=27.6,27.6,IF(AB21/13&gt;27.6,AB21/13))</f>
        <v>143.9576923076923</v>
      </c>
      <c r="AC22" s="21">
        <f>IF(AC21/13&lt;=27.6,27.6,IF(AC21/13&gt;27.6,AC21/13))</f>
        <v>200.16153846153844</v>
      </c>
    </row>
    <row r="23" spans="1:29">
      <c r="A23" t="s">
        <v>23</v>
      </c>
      <c r="G23" s="5">
        <f>IF(H11="nee",AB11,IF(H11="ja",AC11))</f>
        <v>265.9153846153846</v>
      </c>
      <c r="H23" s="5">
        <f>IF(H11="nee",AB22,IF(H11="ja",AC22))</f>
        <v>200.16153846153844</v>
      </c>
    </row>
    <row r="24" spans="1:29">
      <c r="A24" t="s">
        <v>22</v>
      </c>
      <c r="G24" s="5">
        <f>IF(E3="nee",H23,IF(E3="ja",G23))</f>
        <v>265.9153846153846</v>
      </c>
      <c r="H24" s="5"/>
      <c r="I24" s="5">
        <f>IF(G24&lt;N5,G24,IF(G24&gt;=N5,N5))</f>
        <v>240</v>
      </c>
    </row>
    <row r="25" spans="1:29">
      <c r="U25" t="s">
        <v>24</v>
      </c>
      <c r="X25" s="5">
        <f>IF(H7&lt;N14,O14,IF(H7&lt;N15,(H7*O15),IF(H7&gt;N15,S16)))</f>
        <v>594</v>
      </c>
    </row>
    <row r="26" spans="1:29">
      <c r="A26" t="s">
        <v>36</v>
      </c>
      <c r="G26" s="5">
        <f>IF(H11="nee",X42,IF(H11="ja",AB42))</f>
        <v>135.22153846153847</v>
      </c>
    </row>
    <row r="27" spans="1:29">
      <c r="M27" t="s">
        <v>43</v>
      </c>
      <c r="U27" t="s">
        <v>5</v>
      </c>
      <c r="X27" s="1">
        <f>IF(H7&lt;N9,M9,IF(H7&lt;O10,M10,IF(H7&lt;O11,M11,IF(H7&gt;N12,M12))))</f>
        <v>0.01</v>
      </c>
      <c r="AB27">
        <f>H7*X27</f>
        <v>360</v>
      </c>
    </row>
    <row r="28" spans="1:29">
      <c r="A28" s="25"/>
      <c r="B28" s="25"/>
      <c r="C28" s="25"/>
      <c r="D28" s="25"/>
      <c r="E28" s="25"/>
      <c r="F28" s="25"/>
      <c r="G28" s="25" t="s">
        <v>38</v>
      </c>
      <c r="H28" s="25" t="s">
        <v>39</v>
      </c>
      <c r="I28" s="25"/>
      <c r="J28" s="25"/>
      <c r="M28" t="s">
        <v>0</v>
      </c>
      <c r="Q28" t="s">
        <v>8</v>
      </c>
    </row>
    <row r="29" spans="1:29">
      <c r="A29" s="25" t="s">
        <v>37</v>
      </c>
      <c r="B29" s="25"/>
      <c r="C29" s="25"/>
      <c r="D29" s="25"/>
      <c r="E29" s="25"/>
      <c r="F29" s="25"/>
      <c r="G29" s="26">
        <f>I24</f>
        <v>240</v>
      </c>
      <c r="H29" s="26">
        <f>G26</f>
        <v>135.22153846153847</v>
      </c>
      <c r="I29" s="25"/>
      <c r="J29" s="26">
        <f>G29-H29</f>
        <v>104.77846153846153</v>
      </c>
      <c r="M29" t="s">
        <v>7</v>
      </c>
      <c r="P29">
        <v>22331</v>
      </c>
      <c r="Q29">
        <v>252</v>
      </c>
      <c r="U29" t="s">
        <v>25</v>
      </c>
      <c r="X29">
        <f>H4</f>
        <v>35000</v>
      </c>
    </row>
    <row r="30" spans="1:29">
      <c r="N30" t="s">
        <v>2</v>
      </c>
      <c r="P30">
        <v>16634</v>
      </c>
      <c r="Q30">
        <v>252</v>
      </c>
    </row>
    <row r="31" spans="1:29" ht="18">
      <c r="G31" s="27" t="s">
        <v>44</v>
      </c>
      <c r="H31" s="27"/>
      <c r="I31" s="27"/>
      <c r="J31" s="28">
        <f>J29*13</f>
        <v>1362.12</v>
      </c>
      <c r="K31" t="s">
        <v>27</v>
      </c>
      <c r="M31" t="s">
        <v>42</v>
      </c>
      <c r="U31" s="24" t="s">
        <v>26</v>
      </c>
      <c r="V31" s="24"/>
      <c r="W31" s="24">
        <f>H12</f>
        <v>15</v>
      </c>
    </row>
    <row r="32" spans="1:29">
      <c r="N32" t="s">
        <v>1</v>
      </c>
      <c r="P32">
        <v>27917</v>
      </c>
      <c r="Q32">
        <v>359</v>
      </c>
      <c r="V32" t="s">
        <v>27</v>
      </c>
      <c r="X32">
        <f>W31*H13*52</f>
        <v>2340</v>
      </c>
      <c r="AB32">
        <f>AB27</f>
        <v>360</v>
      </c>
      <c r="AC32" s="4">
        <f>X32-AB32</f>
        <v>1980</v>
      </c>
    </row>
    <row r="33" spans="1:28">
      <c r="N33" t="s">
        <v>2</v>
      </c>
      <c r="P33">
        <v>23046</v>
      </c>
      <c r="Q33">
        <v>359</v>
      </c>
      <c r="V33" t="s">
        <v>31</v>
      </c>
      <c r="X33">
        <f>IF(H11="nee",Q20,IF(H11="ja",Q21))</f>
        <v>1980</v>
      </c>
    </row>
    <row r="34" spans="1:28">
      <c r="V34" t="s">
        <v>3</v>
      </c>
      <c r="X34" s="5">
        <f>X25</f>
        <v>594</v>
      </c>
    </row>
    <row r="35" spans="1:28" ht="15" thickBot="1">
      <c r="E35" s="13"/>
      <c r="V35" t="s">
        <v>30</v>
      </c>
      <c r="X35" s="23">
        <f>IF(X33-X34&lt;=0,0,IF(X33-X34&gt;0,X33-X34))</f>
        <v>1386</v>
      </c>
    </row>
    <row r="36" spans="1:28">
      <c r="A36" s="30" t="s">
        <v>51</v>
      </c>
      <c r="B36" s="31"/>
      <c r="C36" s="31"/>
      <c r="D36" s="31"/>
      <c r="E36" s="31"/>
      <c r="F36" s="31"/>
      <c r="G36" s="31"/>
      <c r="H36" s="31"/>
      <c r="I36" s="32"/>
    </row>
    <row r="37" spans="1:28">
      <c r="A37" s="33"/>
      <c r="B37" s="13"/>
      <c r="C37" s="13"/>
      <c r="D37" s="13"/>
      <c r="E37" s="13"/>
      <c r="F37" s="13"/>
      <c r="G37" s="13"/>
      <c r="H37" s="13"/>
      <c r="I37" s="34"/>
    </row>
    <row r="38" spans="1:28">
      <c r="A38" s="33" t="s">
        <v>45</v>
      </c>
      <c r="B38" s="13"/>
      <c r="C38" s="13"/>
      <c r="D38" s="13"/>
      <c r="E38" s="13"/>
      <c r="F38" s="13"/>
      <c r="G38" s="13">
        <f>E47</f>
        <v>21139</v>
      </c>
      <c r="H38" s="13"/>
      <c r="I38" s="34"/>
      <c r="U38" t="s">
        <v>32</v>
      </c>
      <c r="X38" t="s">
        <v>1</v>
      </c>
      <c r="AB38" t="s">
        <v>2</v>
      </c>
    </row>
    <row r="39" spans="1:28">
      <c r="A39" s="33"/>
      <c r="B39" s="13"/>
      <c r="C39" s="13"/>
      <c r="D39" s="13"/>
      <c r="E39" s="13"/>
      <c r="F39" s="13"/>
      <c r="G39" s="13"/>
      <c r="H39" s="13"/>
      <c r="I39" s="34"/>
      <c r="M39" t="s">
        <v>10</v>
      </c>
      <c r="U39" t="s">
        <v>33</v>
      </c>
      <c r="X39" s="5">
        <f>IF(H4&lt;=M41,(X35*N41),IF(H4&lt;=M43,X35*N43,IF(H4&gt;M43,X35*N44)))</f>
        <v>582.12</v>
      </c>
      <c r="Y39" s="5"/>
      <c r="Z39" s="5"/>
      <c r="AA39" s="5"/>
      <c r="AB39" s="5">
        <f>IF(H4&lt;=M41,X35*O41,IF(H4&lt;M42,X35*O42,IF(H4&lt;M43,X35*O43,IF(H4&gt;M43,X35*O44))))</f>
        <v>582.12</v>
      </c>
    </row>
    <row r="40" spans="1:28">
      <c r="A40" s="33" t="s">
        <v>50</v>
      </c>
      <c r="B40" s="13"/>
      <c r="C40" s="13"/>
      <c r="D40" s="13"/>
      <c r="E40" s="13"/>
      <c r="F40" s="13"/>
      <c r="G40" s="40">
        <f>IF(H17&gt;0,H17,IF(H17&lt;=0,0))</f>
        <v>25000</v>
      </c>
      <c r="H40" s="13"/>
      <c r="I40" s="34"/>
      <c r="N40" t="s">
        <v>1</v>
      </c>
      <c r="O40" t="s">
        <v>2</v>
      </c>
      <c r="X40" s="5"/>
      <c r="Y40" s="5"/>
      <c r="Z40" s="5"/>
      <c r="AA40" s="5"/>
      <c r="AB40" s="5"/>
    </row>
    <row r="41" spans="1:28" ht="15" thickBot="1">
      <c r="A41" s="33"/>
      <c r="B41" s="13"/>
      <c r="C41" s="13"/>
      <c r="D41" s="13"/>
      <c r="E41" s="13"/>
      <c r="F41" s="38">
        <v>0.04</v>
      </c>
      <c r="G41" s="13">
        <f>G40*F41</f>
        <v>1000</v>
      </c>
      <c r="H41" s="13"/>
      <c r="I41" s="34"/>
      <c r="M41">
        <v>19822</v>
      </c>
      <c r="N41" s="22">
        <v>0.36499999999999999</v>
      </c>
      <c r="O41" s="22">
        <v>0.186</v>
      </c>
      <c r="U41" t="s">
        <v>34</v>
      </c>
      <c r="X41" s="5">
        <f>X32-X39</f>
        <v>1757.88</v>
      </c>
      <c r="Y41" s="5"/>
      <c r="Z41" s="5"/>
      <c r="AA41" s="5"/>
      <c r="AB41" s="5">
        <f>X32-AB39</f>
        <v>1757.88</v>
      </c>
    </row>
    <row r="42" spans="1:28">
      <c r="A42" s="33"/>
      <c r="B42" s="13"/>
      <c r="C42" s="13"/>
      <c r="D42" s="13"/>
      <c r="E42" s="13"/>
      <c r="F42" s="13"/>
      <c r="G42" s="13"/>
      <c r="H42" s="31" t="s">
        <v>57</v>
      </c>
      <c r="I42" s="34"/>
      <c r="M42">
        <v>33589</v>
      </c>
      <c r="N42" s="22">
        <v>0.42</v>
      </c>
      <c r="O42" s="22">
        <v>0.24099999999999999</v>
      </c>
      <c r="U42" t="s">
        <v>35</v>
      </c>
      <c r="X42" s="5">
        <f>X41/13</f>
        <v>135.22153846153847</v>
      </c>
      <c r="Y42" s="5"/>
      <c r="Z42" s="5"/>
      <c r="AA42" s="5"/>
      <c r="AB42" s="5">
        <f>AB41/13</f>
        <v>135.22153846153847</v>
      </c>
    </row>
    <row r="43" spans="1:28">
      <c r="A43" s="33"/>
      <c r="B43" s="13"/>
      <c r="C43" s="13"/>
      <c r="D43" s="13"/>
      <c r="E43" s="13"/>
      <c r="F43" s="13"/>
      <c r="G43" s="13"/>
      <c r="H43" s="13">
        <v>21139</v>
      </c>
      <c r="I43" s="34"/>
      <c r="M43">
        <v>57585</v>
      </c>
      <c r="N43" s="22">
        <v>0.42</v>
      </c>
      <c r="O43" s="22">
        <v>0.42</v>
      </c>
    </row>
    <row r="44" spans="1:28">
      <c r="A44" s="33" t="s">
        <v>46</v>
      </c>
      <c r="B44" s="13"/>
      <c r="C44" s="13"/>
      <c r="D44" s="13"/>
      <c r="E44" s="13">
        <f>IF(E3="ja",H43,IF(E3="nee",(H43*2)))</f>
        <v>21139</v>
      </c>
      <c r="F44" s="13"/>
      <c r="G44" s="13"/>
      <c r="H44" s="13">
        <v>14302</v>
      </c>
      <c r="I44" s="34">
        <v>27984</v>
      </c>
      <c r="N44" s="22">
        <v>0.52</v>
      </c>
      <c r="O44" s="22">
        <v>0.52</v>
      </c>
    </row>
    <row r="45" spans="1:28">
      <c r="A45" s="33" t="s">
        <v>47</v>
      </c>
      <c r="B45" s="13"/>
      <c r="C45" s="13"/>
      <c r="D45" s="13"/>
      <c r="E45" s="13">
        <f>IF(H4&lt;H44,I44,IF(H4&lt;H45,I45,IF(H4&gt;H45,0)))</f>
        <v>0</v>
      </c>
      <c r="F45" s="13"/>
      <c r="G45" s="13"/>
      <c r="H45" s="13">
        <v>19595</v>
      </c>
      <c r="I45" s="34">
        <v>13992</v>
      </c>
    </row>
    <row r="46" spans="1:28">
      <c r="A46" s="33" t="s">
        <v>48</v>
      </c>
      <c r="B46" s="13"/>
      <c r="C46" s="13"/>
      <c r="D46" s="13"/>
      <c r="E46" s="13">
        <f>IF(H5=0,0,IF(H5&lt;H44,I44,IF(H5&lt;H45,I45,IF(H5&gt;H45,0))))</f>
        <v>0</v>
      </c>
      <c r="F46" s="13"/>
      <c r="G46" s="13"/>
      <c r="H46" s="13"/>
      <c r="I46" s="34"/>
    </row>
    <row r="47" spans="1:28" ht="15" thickBot="1">
      <c r="A47" s="35"/>
      <c r="B47" s="36"/>
      <c r="C47" s="36"/>
      <c r="D47" s="36"/>
      <c r="E47" s="36">
        <f>SUM(E44:E46)</f>
        <v>21139</v>
      </c>
      <c r="F47" s="36"/>
      <c r="G47" s="36"/>
      <c r="H47" s="36"/>
      <c r="I47" s="37"/>
    </row>
  </sheetData>
  <pageMargins left="0.7" right="0.7" top="0.75" bottom="0.75" header="0.3" footer="0.3"/>
  <pageSetup paperSize="9" orientation="portrait" horizont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Erik Bogaards</cp:lastModifiedBy>
  <cp:lastPrinted>2015-01-27T19:07:12Z</cp:lastPrinted>
  <dcterms:created xsi:type="dcterms:W3CDTF">2015-01-26T19:14:19Z</dcterms:created>
  <dcterms:modified xsi:type="dcterms:W3CDTF">2015-09-14T09:40:32Z</dcterms:modified>
</cp:coreProperties>
</file>